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vincentrennie/Desktop/Protocols/Bioinformatics/"/>
    </mc:Choice>
  </mc:AlternateContent>
  <bookViews>
    <workbookView xWindow="0" yWindow="0" windowWidth="33600" windowHeight="21000" tabRatio="500" activeTab="2"/>
  </bookViews>
  <sheets>
    <sheet name="Bac_contam" sheetId="1" r:id="rId1"/>
    <sheet name="Archaea_contam" sheetId="2" r:id="rId2"/>
    <sheet name="Mix_contam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2" i="3" l="1"/>
  <c r="M41" i="3"/>
  <c r="M38" i="3"/>
  <c r="M39" i="3"/>
  <c r="M40" i="3"/>
  <c r="M34" i="3"/>
  <c r="M35" i="3"/>
  <c r="M36" i="3"/>
  <c r="M37" i="3"/>
  <c r="M33" i="3"/>
  <c r="O44" i="2"/>
  <c r="M38" i="2"/>
  <c r="M39" i="2"/>
  <c r="M40" i="2"/>
  <c r="M41" i="2"/>
  <c r="M42" i="2"/>
  <c r="M43" i="2"/>
  <c r="M37" i="2"/>
  <c r="O41" i="1"/>
  <c r="M34" i="1"/>
  <c r="M35" i="1"/>
  <c r="M36" i="1"/>
  <c r="M37" i="1"/>
  <c r="M38" i="1"/>
  <c r="M39" i="1"/>
  <c r="M40" i="1"/>
  <c r="M33" i="1"/>
  <c r="M29" i="1"/>
  <c r="G35" i="2"/>
  <c r="G36" i="2"/>
  <c r="G37" i="2"/>
  <c r="G38" i="2"/>
  <c r="G39" i="2"/>
  <c r="G40" i="2"/>
  <c r="G34" i="2"/>
  <c r="E39" i="2"/>
  <c r="E38" i="2"/>
  <c r="E36" i="2"/>
  <c r="E35" i="2"/>
  <c r="E34" i="2"/>
  <c r="P26" i="2"/>
  <c r="P27" i="2"/>
  <c r="P28" i="2"/>
  <c r="P29" i="2"/>
  <c r="P30" i="2"/>
  <c r="P31" i="2"/>
  <c r="P25" i="2"/>
  <c r="C21" i="2"/>
  <c r="C22" i="2"/>
  <c r="C23" i="2"/>
  <c r="C24" i="2"/>
  <c r="C25" i="2"/>
  <c r="C20" i="2"/>
  <c r="G31" i="1"/>
  <c r="G32" i="1"/>
  <c r="G33" i="1"/>
  <c r="G34" i="1"/>
  <c r="G35" i="1"/>
  <c r="G36" i="1"/>
  <c r="G37" i="1"/>
  <c r="G30" i="1"/>
  <c r="E36" i="1"/>
  <c r="E33" i="1"/>
  <c r="E32" i="1"/>
  <c r="E31" i="1"/>
  <c r="E30" i="1"/>
  <c r="P22" i="1"/>
  <c r="P23" i="1"/>
  <c r="P24" i="1"/>
  <c r="P25" i="1"/>
  <c r="P26" i="1"/>
  <c r="P27" i="1"/>
  <c r="P28" i="1"/>
  <c r="P21" i="1"/>
  <c r="C22" i="1"/>
  <c r="C23" i="1"/>
  <c r="C24" i="1"/>
  <c r="C25" i="1"/>
  <c r="C21" i="1"/>
  <c r="E35" i="3"/>
  <c r="E36" i="3"/>
  <c r="E37" i="3"/>
  <c r="E38" i="3"/>
  <c r="E39" i="3"/>
  <c r="E40" i="3"/>
  <c r="E41" i="3"/>
  <c r="E42" i="3"/>
  <c r="E34" i="3"/>
  <c r="C39" i="3"/>
  <c r="C41" i="3"/>
  <c r="C35" i="3"/>
  <c r="C34" i="3"/>
  <c r="P21" i="3"/>
  <c r="P22" i="3"/>
  <c r="P23" i="3"/>
  <c r="P24" i="3"/>
  <c r="P25" i="3"/>
  <c r="P26" i="3"/>
  <c r="P27" i="3"/>
  <c r="P20" i="3"/>
  <c r="P28" i="3"/>
  <c r="C22" i="3"/>
  <c r="C23" i="3"/>
  <c r="C24" i="3"/>
  <c r="C25" i="3"/>
  <c r="C21" i="3"/>
  <c r="L22" i="1"/>
  <c r="M22" i="1"/>
  <c r="M23" i="1"/>
  <c r="M24" i="1"/>
  <c r="M25" i="1"/>
  <c r="M26" i="1"/>
  <c r="M27" i="1"/>
  <c r="M28" i="1"/>
  <c r="M21" i="1"/>
  <c r="L23" i="1"/>
  <c r="L24" i="1"/>
  <c r="L25" i="1"/>
  <c r="L26" i="1"/>
  <c r="L27" i="1"/>
  <c r="L28" i="1"/>
  <c r="L21" i="1"/>
  <c r="J23" i="1"/>
  <c r="J22" i="1"/>
  <c r="J21" i="1"/>
  <c r="J30" i="2"/>
  <c r="J16" i="2"/>
  <c r="J26" i="2"/>
  <c r="J25" i="2"/>
  <c r="L31" i="2"/>
  <c r="M31" i="2"/>
  <c r="L30" i="2"/>
  <c r="M30" i="2"/>
  <c r="L29" i="2"/>
  <c r="M29" i="2"/>
  <c r="L28" i="2"/>
  <c r="M28" i="2"/>
  <c r="L27" i="2"/>
  <c r="M27" i="2"/>
  <c r="L26" i="2"/>
  <c r="M26" i="2"/>
  <c r="L25" i="2"/>
  <c r="M25" i="2"/>
  <c r="J17" i="2"/>
  <c r="L17" i="2"/>
  <c r="M17" i="2"/>
  <c r="L16" i="2"/>
  <c r="M16" i="2"/>
  <c r="M12" i="3"/>
  <c r="M11" i="3"/>
  <c r="L12" i="3"/>
  <c r="L11" i="3"/>
  <c r="J12" i="3"/>
  <c r="J11" i="3"/>
  <c r="M21" i="3"/>
  <c r="M22" i="3"/>
  <c r="M23" i="3"/>
  <c r="M24" i="3"/>
  <c r="M25" i="3"/>
  <c r="M26" i="3"/>
  <c r="M27" i="3"/>
  <c r="M28" i="3"/>
  <c r="M20" i="3"/>
  <c r="L21" i="3"/>
  <c r="L22" i="3"/>
  <c r="L23" i="3"/>
  <c r="L24" i="3"/>
  <c r="L25" i="3"/>
  <c r="L26" i="3"/>
  <c r="L27" i="3"/>
  <c r="L28" i="3"/>
  <c r="L20" i="3"/>
  <c r="J21" i="3"/>
  <c r="J20" i="3"/>
  <c r="G2" i="3"/>
  <c r="G3" i="3"/>
  <c r="G4" i="3"/>
  <c r="G5" i="3"/>
  <c r="G6" i="3"/>
  <c r="G7" i="3"/>
  <c r="G8" i="3"/>
  <c r="G9" i="3"/>
  <c r="G10" i="3"/>
  <c r="G11" i="3"/>
  <c r="G12" i="3"/>
  <c r="G12" i="2"/>
  <c r="G10" i="2"/>
  <c r="G8" i="2"/>
  <c r="G6" i="2"/>
  <c r="G4" i="2"/>
  <c r="G3" i="2"/>
  <c r="G5" i="2"/>
  <c r="G7" i="2"/>
  <c r="G9" i="2"/>
  <c r="G11" i="2"/>
  <c r="G2" i="2"/>
  <c r="G13" i="1"/>
  <c r="F3" i="3"/>
  <c r="F4" i="3"/>
  <c r="F5" i="3"/>
  <c r="F6" i="3"/>
  <c r="F7" i="3"/>
  <c r="F8" i="3"/>
  <c r="F9" i="3"/>
  <c r="F10" i="3"/>
  <c r="F11" i="3"/>
  <c r="F2" i="3"/>
  <c r="E12" i="3"/>
  <c r="F3" i="2"/>
  <c r="F4" i="2"/>
  <c r="F5" i="2"/>
  <c r="F6" i="2"/>
  <c r="F7" i="2"/>
  <c r="F8" i="2"/>
  <c r="F9" i="2"/>
  <c r="F10" i="2"/>
  <c r="F11" i="2"/>
  <c r="F2" i="2"/>
  <c r="E12" i="2"/>
  <c r="G12" i="1"/>
  <c r="G11" i="1"/>
  <c r="G9" i="1"/>
  <c r="G8" i="1"/>
  <c r="G4" i="1"/>
  <c r="G10" i="1"/>
  <c r="G7" i="1"/>
  <c r="G6" i="1"/>
  <c r="G5" i="1"/>
  <c r="G3" i="1"/>
  <c r="G2" i="1"/>
  <c r="F13" i="1"/>
  <c r="F3" i="1"/>
  <c r="F4" i="1"/>
  <c r="F5" i="1"/>
  <c r="F6" i="1"/>
  <c r="F7" i="1"/>
  <c r="F8" i="1"/>
  <c r="F9" i="1"/>
  <c r="F10" i="1"/>
  <c r="F11" i="1"/>
  <c r="F12" i="1"/>
  <c r="F2" i="1"/>
  <c r="E13" i="1"/>
</calcChain>
</file>

<file path=xl/sharedStrings.xml><?xml version="1.0" encoding="utf-8"?>
<sst xmlns="http://schemas.openxmlformats.org/spreadsheetml/2006/main" count="247" uniqueCount="70">
  <si>
    <t>bin.1</t>
  </si>
  <si>
    <t>bin.2</t>
  </si>
  <si>
    <t>bin.3</t>
  </si>
  <si>
    <t>bin.4</t>
  </si>
  <si>
    <t>bin.5</t>
  </si>
  <si>
    <t>bin.6</t>
  </si>
  <si>
    <t>bin.7</t>
  </si>
  <si>
    <t>bin.8</t>
  </si>
  <si>
    <t>bin.9</t>
  </si>
  <si>
    <t>bin.10</t>
  </si>
  <si>
    <t>bin.11</t>
  </si>
  <si>
    <t>Bin</t>
  </si>
  <si>
    <t>Phylum</t>
  </si>
  <si>
    <t>Bacteroidota</t>
  </si>
  <si>
    <t>Armatimonadota</t>
  </si>
  <si>
    <t>Actinobacteriota</t>
  </si>
  <si>
    <t>Contaminant?</t>
  </si>
  <si>
    <t>Y</t>
  </si>
  <si>
    <t>Corynebacterium diphtheriae</t>
  </si>
  <si>
    <t>Sumerlaeota</t>
  </si>
  <si>
    <t>Firmicutes</t>
  </si>
  <si>
    <t>Streptococcus agalactiae</t>
  </si>
  <si>
    <t>Staphylococcus aureus</t>
  </si>
  <si>
    <t>Propionibacterium freudenreichii</t>
  </si>
  <si>
    <t>Proteobacteria</t>
  </si>
  <si>
    <t>Acinetobacter baumannii</t>
  </si>
  <si>
    <t>N</t>
  </si>
  <si>
    <t>UBP3</t>
  </si>
  <si>
    <t>Abundance Quant_bin</t>
  </si>
  <si>
    <t>Quant_Bin relative</t>
  </si>
  <si>
    <t>Deviation</t>
  </si>
  <si>
    <t>Acidobacteriota</t>
  </si>
  <si>
    <t>Nanoarchaeota</t>
  </si>
  <si>
    <t>Halobacterota</t>
  </si>
  <si>
    <t>Crenarchaeota</t>
  </si>
  <si>
    <t>Hadarchaeota</t>
  </si>
  <si>
    <t>Thermoplasmatota</t>
  </si>
  <si>
    <t>Pseudomonas aeruginosa</t>
  </si>
  <si>
    <t>Elusimicrobiota</t>
  </si>
  <si>
    <t>Thermotogota</t>
  </si>
  <si>
    <t>Observed</t>
  </si>
  <si>
    <t>Expected</t>
  </si>
  <si>
    <t>Planctomycetes</t>
  </si>
  <si>
    <t>Bacteria</t>
  </si>
  <si>
    <t>Archaea</t>
  </si>
  <si>
    <t>Viruses</t>
  </si>
  <si>
    <t>Actinobacteria</t>
  </si>
  <si>
    <t>Aenigmarcheaota (GCA_000405245.1)</t>
  </si>
  <si>
    <t>Bathyarchaeota (GCA_001775995.1)</t>
  </si>
  <si>
    <t>Euryarchaeota (GCA_002011165.1)</t>
  </si>
  <si>
    <t>Nanoarchaeota (GCA_003660925.1)</t>
  </si>
  <si>
    <t>Acidobacteria (GCA_001767035.1)</t>
  </si>
  <si>
    <t>Aureabacteria (GCA_002440765.1)</t>
  </si>
  <si>
    <t>Armatimonadota (GCA_002898895.1)</t>
  </si>
  <si>
    <t>Abyssubacteria (GCA_003598055.1)</t>
  </si>
  <si>
    <t>Bacteroidetes (GCA_003696835.1)</t>
  </si>
  <si>
    <t>Bacteria|Proteobacteria</t>
  </si>
  <si>
    <t>Bacteria|Actinobacteria</t>
  </si>
  <si>
    <t>Bacteria|Thermotogae</t>
  </si>
  <si>
    <t>Bacteria|Candidatus Abyssubacteria</t>
  </si>
  <si>
    <t>Bacteria|Firmicutes</t>
  </si>
  <si>
    <t>Metalign</t>
  </si>
  <si>
    <t>Recalculation</t>
  </si>
  <si>
    <t>MetaAcc</t>
  </si>
  <si>
    <t>Bacteria|Acidobacteria</t>
  </si>
  <si>
    <t>Recalculated</t>
  </si>
  <si>
    <t>Archaea|Candidatus Aenigmarchaeota</t>
  </si>
  <si>
    <t>Archaea|Candidatus Bathyarchaeota</t>
  </si>
  <si>
    <t>Archaea|Euryarchaeota</t>
  </si>
  <si>
    <t>Euryarchaeota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</si>
</sst>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Ruler="0" workbookViewId="0">
      <selection activeCell="O42" sqref="O42"/>
    </sheetView>
  </sheetViews>
  <sheetFormatPr baseColWidth="10" defaultRowHeight="16" x14ac:dyDescent="0.2"/>
  <cols>
    <col min="1" max="1" width="30.6640625" bestFit="1" customWidth="1"/>
    <col min="2" max="2" width="15" bestFit="1" customWidth="1"/>
    <col min="3" max="3" width="12.6640625" bestFit="1" customWidth="1"/>
    <col min="4" max="4" width="31.83203125" bestFit="1" customWidth="1"/>
    <col min="5" max="5" width="19.33203125" bestFit="1" customWidth="1"/>
    <col min="6" max="6" width="16.33203125" bestFit="1" customWidth="1"/>
    <col min="9" max="9" width="31.83203125" bestFit="1" customWidth="1"/>
    <col min="13" max="13" width="11.83203125" bestFit="1" customWidth="1"/>
  </cols>
  <sheetData>
    <row r="1" spans="1:12" x14ac:dyDescent="0.2">
      <c r="A1" t="s">
        <v>11</v>
      </c>
      <c r="B1" t="s">
        <v>12</v>
      </c>
      <c r="C1" t="s">
        <v>16</v>
      </c>
      <c r="E1" t="s">
        <v>28</v>
      </c>
      <c r="F1" t="s">
        <v>29</v>
      </c>
      <c r="G1" t="s">
        <v>30</v>
      </c>
    </row>
    <row r="2" spans="1:12" x14ac:dyDescent="0.2">
      <c r="A2" t="s">
        <v>0</v>
      </c>
      <c r="B2" t="s">
        <v>19</v>
      </c>
      <c r="C2" t="s">
        <v>26</v>
      </c>
      <c r="E2">
        <v>365.49657100000002</v>
      </c>
      <c r="F2">
        <f>E2/2398.306444</f>
        <v>0.1523977771541192</v>
      </c>
      <c r="G2">
        <f>F2-0.15</f>
        <v>2.3977771541192072E-3</v>
      </c>
    </row>
    <row r="3" spans="1:12" x14ac:dyDescent="0.2">
      <c r="A3" t="s">
        <v>1</v>
      </c>
      <c r="B3" t="s">
        <v>14</v>
      </c>
      <c r="C3" t="s">
        <v>26</v>
      </c>
      <c r="E3">
        <v>381.22473500000001</v>
      </c>
      <c r="F3">
        <f t="shared" ref="F3:F12" si="0">E3/2398.306444</f>
        <v>0.15895580648325192</v>
      </c>
      <c r="G3">
        <f>F3-0.15</f>
        <v>8.9558064832519213E-3</v>
      </c>
    </row>
    <row r="4" spans="1:12" x14ac:dyDescent="0.2">
      <c r="A4" t="s">
        <v>2</v>
      </c>
      <c r="B4" t="s">
        <v>15</v>
      </c>
      <c r="C4" t="s">
        <v>17</v>
      </c>
      <c r="D4" t="s">
        <v>18</v>
      </c>
      <c r="E4">
        <v>31.475781999999999</v>
      </c>
      <c r="F4">
        <f t="shared" si="0"/>
        <v>1.3124170215505621E-2</v>
      </c>
      <c r="G4">
        <f>F4-0.01</f>
        <v>3.1241702155056211E-3</v>
      </c>
    </row>
    <row r="5" spans="1:12" x14ac:dyDescent="0.2">
      <c r="A5" t="s">
        <v>3</v>
      </c>
      <c r="B5" t="s">
        <v>13</v>
      </c>
      <c r="C5" t="s">
        <v>26</v>
      </c>
      <c r="E5">
        <v>393.59642100000002</v>
      </c>
      <c r="F5">
        <f t="shared" si="0"/>
        <v>0.16411431574338048</v>
      </c>
      <c r="G5">
        <f t="shared" ref="G5:G7" si="1">F5-0.15</f>
        <v>1.4114315743380484E-2</v>
      </c>
    </row>
    <row r="6" spans="1:12" x14ac:dyDescent="0.2">
      <c r="A6" t="s">
        <v>4</v>
      </c>
      <c r="B6" t="s">
        <v>15</v>
      </c>
      <c r="C6" t="s">
        <v>26</v>
      </c>
      <c r="E6">
        <v>360.55980199999999</v>
      </c>
      <c r="F6">
        <f t="shared" si="0"/>
        <v>0.15033933753630027</v>
      </c>
      <c r="G6">
        <f t="shared" si="1"/>
        <v>3.3933753630027708E-4</v>
      </c>
    </row>
    <row r="7" spans="1:12" x14ac:dyDescent="0.2">
      <c r="A7" t="s">
        <v>5</v>
      </c>
      <c r="B7" t="s">
        <v>27</v>
      </c>
      <c r="C7" t="s">
        <v>26</v>
      </c>
      <c r="E7">
        <v>375.93264399999998</v>
      </c>
      <c r="F7">
        <f t="shared" si="0"/>
        <v>0.15674921148650345</v>
      </c>
      <c r="G7">
        <f t="shared" si="1"/>
        <v>6.7492114865034536E-3</v>
      </c>
    </row>
    <row r="8" spans="1:12" x14ac:dyDescent="0.2">
      <c r="A8" t="s">
        <v>6</v>
      </c>
      <c r="B8" t="s">
        <v>20</v>
      </c>
      <c r="C8" t="s">
        <v>17</v>
      </c>
      <c r="D8" t="s">
        <v>22</v>
      </c>
      <c r="E8">
        <v>31.942519000000001</v>
      </c>
      <c r="F8">
        <f t="shared" si="0"/>
        <v>1.3318781292487742E-2</v>
      </c>
      <c r="G8">
        <f t="shared" ref="G8:G9" si="2">F8-0.01</f>
        <v>3.3187812924877422E-3</v>
      </c>
    </row>
    <row r="9" spans="1:12" x14ac:dyDescent="0.2">
      <c r="A9" t="s">
        <v>7</v>
      </c>
      <c r="B9" t="s">
        <v>20</v>
      </c>
      <c r="C9" t="s">
        <v>17</v>
      </c>
      <c r="D9" t="s">
        <v>21</v>
      </c>
      <c r="E9">
        <v>31.130696</v>
      </c>
      <c r="F9">
        <f t="shared" si="0"/>
        <v>1.2980282848291426E-2</v>
      </c>
      <c r="G9">
        <f t="shared" si="2"/>
        <v>2.9802828482914257E-3</v>
      </c>
    </row>
    <row r="10" spans="1:12" x14ac:dyDescent="0.2">
      <c r="A10" t="s">
        <v>8</v>
      </c>
      <c r="B10" t="s">
        <v>31</v>
      </c>
      <c r="C10" t="s">
        <v>26</v>
      </c>
      <c r="E10">
        <v>365.14652599999999</v>
      </c>
      <c r="F10">
        <f t="shared" si="0"/>
        <v>0.15225182207782953</v>
      </c>
      <c r="G10">
        <f>F10-0.15</f>
        <v>2.251822077829535E-3</v>
      </c>
      <c r="J10" t="s">
        <v>40</v>
      </c>
      <c r="K10" t="s">
        <v>41</v>
      </c>
      <c r="L10" t="s">
        <v>30</v>
      </c>
    </row>
    <row r="11" spans="1:12" x14ac:dyDescent="0.2">
      <c r="A11" t="s">
        <v>9</v>
      </c>
      <c r="B11" t="s">
        <v>15</v>
      </c>
      <c r="C11" t="s">
        <v>17</v>
      </c>
      <c r="D11" t="s">
        <v>23</v>
      </c>
      <c r="E11">
        <v>30.966925</v>
      </c>
      <c r="F11">
        <f t="shared" si="0"/>
        <v>1.2911996745650241E-2</v>
      </c>
      <c r="G11">
        <f t="shared" ref="G11:G12" si="3">F11-0.01</f>
        <v>2.9119967456502412E-3</v>
      </c>
      <c r="I11" t="s">
        <v>43</v>
      </c>
      <c r="J11">
        <v>100</v>
      </c>
      <c r="K11">
        <v>100</v>
      </c>
      <c r="L11">
        <v>0</v>
      </c>
    </row>
    <row r="12" spans="1:12" x14ac:dyDescent="0.2">
      <c r="A12" t="s">
        <v>10</v>
      </c>
      <c r="B12" t="s">
        <v>24</v>
      </c>
      <c r="C12" t="s">
        <v>17</v>
      </c>
      <c r="D12" t="s">
        <v>25</v>
      </c>
      <c r="E12">
        <v>30.833822999999999</v>
      </c>
      <c r="F12">
        <f t="shared" si="0"/>
        <v>1.2856498416680233E-2</v>
      </c>
      <c r="G12">
        <f t="shared" si="3"/>
        <v>2.8564984166802327E-3</v>
      </c>
    </row>
    <row r="13" spans="1:12" x14ac:dyDescent="0.2">
      <c r="E13">
        <f>SUM(E2:E12)</f>
        <v>2398.3064440000003</v>
      </c>
      <c r="F13">
        <f>SUM(F2:F12)</f>
        <v>1</v>
      </c>
      <c r="G13">
        <f>SUM(G2:G12)</f>
        <v>5.0000000000000142E-2</v>
      </c>
    </row>
    <row r="20" spans="1:16" x14ac:dyDescent="0.2">
      <c r="A20" t="s">
        <v>61</v>
      </c>
      <c r="B20" t="s">
        <v>40</v>
      </c>
      <c r="C20" t="s">
        <v>65</v>
      </c>
      <c r="I20" t="s">
        <v>12</v>
      </c>
      <c r="J20" t="s">
        <v>40</v>
      </c>
      <c r="K20" t="s">
        <v>41</v>
      </c>
      <c r="L20" t="s">
        <v>30</v>
      </c>
      <c r="M20" t="s">
        <v>30</v>
      </c>
      <c r="P20" t="s">
        <v>40</v>
      </c>
    </row>
    <row r="21" spans="1:16" x14ac:dyDescent="0.2">
      <c r="A21" t="s">
        <v>56</v>
      </c>
      <c r="B21">
        <v>81.511949999999999</v>
      </c>
      <c r="C21">
        <f>B21*(1-0.9046)</f>
        <v>7.776240030000003</v>
      </c>
      <c r="I21" t="s">
        <v>24</v>
      </c>
      <c r="J21">
        <f>F12</f>
        <v>1.2856498416680233E-2</v>
      </c>
      <c r="K21">
        <v>0.06</v>
      </c>
      <c r="L21">
        <f>J21-K21</f>
        <v>-4.7143501583319765E-2</v>
      </c>
      <c r="M21">
        <f>L21*100</f>
        <v>-4.7143501583319765</v>
      </c>
      <c r="P21">
        <f>J21*100*0.9046</f>
        <v>1.1629988467728938</v>
      </c>
    </row>
    <row r="22" spans="1:16" x14ac:dyDescent="0.2">
      <c r="A22" t="s">
        <v>64</v>
      </c>
      <c r="B22">
        <v>4.6222700000000003</v>
      </c>
      <c r="C22">
        <f t="shared" ref="C22:C25" si="4">B22*(1-0.9046)</f>
        <v>0.44096455800000023</v>
      </c>
      <c r="I22" t="s">
        <v>46</v>
      </c>
      <c r="J22">
        <f>F4+F6+F11</f>
        <v>0.17637550449745615</v>
      </c>
      <c r="K22">
        <v>0.17</v>
      </c>
      <c r="L22">
        <f t="shared" ref="L22:L28" si="5">J22-K22</f>
        <v>6.3755044974561359E-3</v>
      </c>
      <c r="M22">
        <f t="shared" ref="M22:M28" si="6">L22*100</f>
        <v>0.63755044974561359</v>
      </c>
      <c r="P22">
        <f t="shared" ref="P22:P28" si="7">J22*100*0.9046</f>
        <v>15.954928136839882</v>
      </c>
    </row>
    <row r="23" spans="1:16" x14ac:dyDescent="0.2">
      <c r="A23" t="s">
        <v>59</v>
      </c>
      <c r="B23">
        <v>4.5103799999999996</v>
      </c>
      <c r="C23">
        <f t="shared" si="4"/>
        <v>0.43029025200000015</v>
      </c>
      <c r="I23" t="s">
        <v>20</v>
      </c>
      <c r="J23">
        <f>F8+F9</f>
        <v>2.629906414077917E-2</v>
      </c>
      <c r="K23">
        <v>0.02</v>
      </c>
      <c r="L23">
        <f t="shared" si="5"/>
        <v>6.2990641407791696E-3</v>
      </c>
      <c r="M23">
        <f t="shared" si="6"/>
        <v>0.62990641407791692</v>
      </c>
      <c r="P23">
        <f t="shared" si="7"/>
        <v>2.3790133421748836</v>
      </c>
    </row>
    <row r="24" spans="1:16" x14ac:dyDescent="0.2">
      <c r="A24" t="s">
        <v>57</v>
      </c>
      <c r="B24">
        <v>0.69862000000000002</v>
      </c>
      <c r="C24">
        <f t="shared" si="4"/>
        <v>6.6648348000000024E-2</v>
      </c>
      <c r="I24" t="s">
        <v>51</v>
      </c>
      <c r="J24">
        <v>0.15225182207782953</v>
      </c>
      <c r="K24">
        <v>0.15</v>
      </c>
      <c r="L24">
        <f t="shared" si="5"/>
        <v>2.251822077829535E-3</v>
      </c>
      <c r="M24">
        <f t="shared" si="6"/>
        <v>0.2251822077829535</v>
      </c>
      <c r="P24">
        <f t="shared" si="7"/>
        <v>13.77269982516046</v>
      </c>
    </row>
    <row r="25" spans="1:16" x14ac:dyDescent="0.2">
      <c r="A25" t="s">
        <v>60</v>
      </c>
      <c r="B25">
        <v>0.40966000000000002</v>
      </c>
      <c r="C25">
        <f t="shared" si="4"/>
        <v>3.908156400000002E-2</v>
      </c>
      <c r="I25" t="s">
        <v>52</v>
      </c>
      <c r="J25">
        <v>0.15674921148650345</v>
      </c>
      <c r="K25">
        <v>0.15</v>
      </c>
      <c r="L25">
        <f t="shared" si="5"/>
        <v>6.7492114865034536E-3</v>
      </c>
      <c r="M25">
        <f t="shared" si="6"/>
        <v>0.67492114865034536</v>
      </c>
      <c r="P25">
        <f t="shared" si="7"/>
        <v>14.179533671069102</v>
      </c>
    </row>
    <row r="26" spans="1:16" x14ac:dyDescent="0.2">
      <c r="I26" t="s">
        <v>53</v>
      </c>
      <c r="J26">
        <v>0.15895580648325192</v>
      </c>
      <c r="K26">
        <v>0.15</v>
      </c>
      <c r="L26">
        <f t="shared" si="5"/>
        <v>8.9558064832519213E-3</v>
      </c>
      <c r="M26">
        <f t="shared" si="6"/>
        <v>0.89558064832519213</v>
      </c>
      <c r="P26">
        <f t="shared" si="7"/>
        <v>14.379142254474967</v>
      </c>
    </row>
    <row r="27" spans="1:16" x14ac:dyDescent="0.2">
      <c r="I27" t="s">
        <v>54</v>
      </c>
      <c r="J27">
        <v>0.1523977771541192</v>
      </c>
      <c r="K27">
        <v>0.15</v>
      </c>
      <c r="L27">
        <f t="shared" si="5"/>
        <v>2.3977771541192072E-3</v>
      </c>
      <c r="M27">
        <f t="shared" si="6"/>
        <v>0.23977771541192072</v>
      </c>
      <c r="P27">
        <f t="shared" si="7"/>
        <v>13.785902921361622</v>
      </c>
    </row>
    <row r="28" spans="1:16" x14ac:dyDescent="0.2">
      <c r="I28" t="s">
        <v>55</v>
      </c>
      <c r="J28">
        <v>0.16411431574338048</v>
      </c>
      <c r="K28">
        <v>0.15</v>
      </c>
      <c r="L28">
        <f t="shared" si="5"/>
        <v>1.4114315743380484E-2</v>
      </c>
      <c r="M28">
        <f t="shared" si="6"/>
        <v>1.4114315743380486</v>
      </c>
      <c r="P28">
        <f t="shared" si="7"/>
        <v>14.845781002146198</v>
      </c>
    </row>
    <row r="29" spans="1:16" x14ac:dyDescent="0.2">
      <c r="D29" t="s">
        <v>61</v>
      </c>
      <c r="E29" t="s">
        <v>40</v>
      </c>
      <c r="F29" t="s">
        <v>41</v>
      </c>
      <c r="G29" t="s">
        <v>30</v>
      </c>
      <c r="M29">
        <f>SUM(M21:M28)</f>
        <v>1.3988810110276972E-14</v>
      </c>
    </row>
    <row r="30" spans="1:16" x14ac:dyDescent="0.2">
      <c r="D30" t="s">
        <v>24</v>
      </c>
      <c r="E30">
        <f>C21+P21</f>
        <v>8.9392388767728974</v>
      </c>
      <c r="F30">
        <v>6</v>
      </c>
      <c r="G30">
        <f>E30-F30</f>
        <v>2.9392388767728974</v>
      </c>
    </row>
    <row r="31" spans="1:16" x14ac:dyDescent="0.2">
      <c r="D31" t="s">
        <v>46</v>
      </c>
      <c r="E31">
        <f>P22+C24</f>
        <v>16.021576484839883</v>
      </c>
      <c r="F31">
        <v>17</v>
      </c>
      <c r="G31">
        <f t="shared" ref="G31:G37" si="8">E31-F31</f>
        <v>-0.97842351516011661</v>
      </c>
    </row>
    <row r="32" spans="1:16" x14ac:dyDescent="0.2">
      <c r="D32" t="s">
        <v>20</v>
      </c>
      <c r="E32">
        <f>C25+P23</f>
        <v>2.4180949061748835</v>
      </c>
      <c r="F32">
        <v>2</v>
      </c>
      <c r="G32">
        <f t="shared" si="8"/>
        <v>0.41809490617488354</v>
      </c>
    </row>
    <row r="33" spans="4:15" x14ac:dyDescent="0.2">
      <c r="D33" t="s">
        <v>51</v>
      </c>
      <c r="E33">
        <f>C22+P24</f>
        <v>14.213664383160461</v>
      </c>
      <c r="F33">
        <v>15</v>
      </c>
      <c r="G33">
        <f t="shared" si="8"/>
        <v>-0.78633561683953879</v>
      </c>
      <c r="M33">
        <f>ABS(M21)</f>
        <v>4.7143501583319765</v>
      </c>
    </row>
    <row r="34" spans="4:15" x14ac:dyDescent="0.2">
      <c r="D34" t="s">
        <v>52</v>
      </c>
      <c r="E34">
        <v>14.179533671069102</v>
      </c>
      <c r="F34">
        <v>15</v>
      </c>
      <c r="G34">
        <f t="shared" si="8"/>
        <v>-0.82046632893089821</v>
      </c>
      <c r="M34">
        <f t="shared" ref="M34:M42" si="9">ABS(M22)</f>
        <v>0.63755044974561359</v>
      </c>
    </row>
    <row r="35" spans="4:15" x14ac:dyDescent="0.2">
      <c r="D35" t="s">
        <v>53</v>
      </c>
      <c r="E35">
        <v>14.379142254474967</v>
      </c>
      <c r="F35">
        <v>15</v>
      </c>
      <c r="G35">
        <f t="shared" si="8"/>
        <v>-0.62085774552503281</v>
      </c>
      <c r="M35">
        <f t="shared" si="9"/>
        <v>0.62990641407791692</v>
      </c>
    </row>
    <row r="36" spans="4:15" x14ac:dyDescent="0.2">
      <c r="D36" t="s">
        <v>54</v>
      </c>
      <c r="E36">
        <f>C23+P27</f>
        <v>14.216193173361622</v>
      </c>
      <c r="F36">
        <v>15</v>
      </c>
      <c r="G36">
        <f t="shared" si="8"/>
        <v>-0.78380682663837753</v>
      </c>
      <c r="M36">
        <f t="shared" si="9"/>
        <v>0.2251822077829535</v>
      </c>
    </row>
    <row r="37" spans="4:15" x14ac:dyDescent="0.2">
      <c r="D37" t="s">
        <v>55</v>
      </c>
      <c r="E37">
        <v>14.845781002146198</v>
      </c>
      <c r="F37">
        <v>15</v>
      </c>
      <c r="G37">
        <f t="shared" si="8"/>
        <v>-0.15421899785380155</v>
      </c>
      <c r="M37">
        <f t="shared" si="9"/>
        <v>0.67492114865034536</v>
      </c>
    </row>
    <row r="38" spans="4:15" x14ac:dyDescent="0.2">
      <c r="M38">
        <f t="shared" si="9"/>
        <v>0.89558064832519213</v>
      </c>
    </row>
    <row r="39" spans="4:15" x14ac:dyDescent="0.2">
      <c r="M39">
        <f t="shared" si="9"/>
        <v>0.23977771541192072</v>
      </c>
    </row>
    <row r="40" spans="4:15" x14ac:dyDescent="0.2">
      <c r="M40">
        <f t="shared" si="9"/>
        <v>1.4114315743380486</v>
      </c>
    </row>
    <row r="41" spans="4:15" x14ac:dyDescent="0.2">
      <c r="O41">
        <f>AVERAGE(M33:M40)</f>
        <v>1.1785875395829959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Ruler="0" workbookViewId="0">
      <selection activeCell="O45" sqref="O45"/>
    </sheetView>
  </sheetViews>
  <sheetFormatPr baseColWidth="10" defaultRowHeight="16" x14ac:dyDescent="0.2"/>
  <cols>
    <col min="1" max="1" width="32.6640625" bestFit="1" customWidth="1"/>
    <col min="2" max="2" width="16.6640625" bestFit="1" customWidth="1"/>
    <col min="3" max="3" width="12.6640625" bestFit="1" customWidth="1"/>
    <col min="4" max="4" width="32.33203125" bestFit="1" customWidth="1"/>
    <col min="5" max="5" width="19.33203125" bestFit="1" customWidth="1"/>
    <col min="6" max="6" width="16.33203125" bestFit="1" customWidth="1"/>
    <col min="9" max="9" width="32.33203125" bestFit="1" customWidth="1"/>
  </cols>
  <sheetData>
    <row r="1" spans="1:13" x14ac:dyDescent="0.2">
      <c r="A1" t="s">
        <v>11</v>
      </c>
      <c r="B1" t="s">
        <v>12</v>
      </c>
      <c r="C1" t="s">
        <v>16</v>
      </c>
      <c r="E1" t="s">
        <v>28</v>
      </c>
      <c r="F1" t="s">
        <v>29</v>
      </c>
      <c r="G1" t="s">
        <v>30</v>
      </c>
    </row>
    <row r="2" spans="1:13" x14ac:dyDescent="0.2">
      <c r="A2" t="s">
        <v>0</v>
      </c>
      <c r="B2" t="s">
        <v>24</v>
      </c>
      <c r="C2" t="s">
        <v>17</v>
      </c>
      <c r="D2" t="s">
        <v>25</v>
      </c>
      <c r="E2">
        <v>53.908335000000001</v>
      </c>
      <c r="F2">
        <f>E2/3445.03941</f>
        <v>1.5648104008191884E-2</v>
      </c>
      <c r="G2">
        <f>F2-0.01</f>
        <v>5.6481040081918839E-3</v>
      </c>
    </row>
    <row r="3" spans="1:13" x14ac:dyDescent="0.2">
      <c r="A3" t="s">
        <v>1</v>
      </c>
      <c r="B3" t="s">
        <v>36</v>
      </c>
      <c r="C3" t="s">
        <v>26</v>
      </c>
      <c r="E3">
        <v>650.49872000000005</v>
      </c>
      <c r="F3">
        <f t="shared" ref="F3:F11" si="0">E3/3445.03941</f>
        <v>0.18882185153289729</v>
      </c>
      <c r="G3">
        <f>F3-0.15</f>
        <v>3.88218515328973E-2</v>
      </c>
    </row>
    <row r="4" spans="1:13" x14ac:dyDescent="0.2">
      <c r="A4" t="s">
        <v>2</v>
      </c>
      <c r="B4" t="s">
        <v>35</v>
      </c>
      <c r="C4" t="s">
        <v>26</v>
      </c>
      <c r="E4">
        <v>642.24065499999995</v>
      </c>
      <c r="F4">
        <f t="shared" si="0"/>
        <v>0.18642476284473042</v>
      </c>
      <c r="G4">
        <f>F4-0.15</f>
        <v>3.6424762844730424E-2</v>
      </c>
    </row>
    <row r="5" spans="1:13" x14ac:dyDescent="0.2">
      <c r="A5" t="s">
        <v>3</v>
      </c>
      <c r="B5" t="s">
        <v>20</v>
      </c>
      <c r="C5" t="s">
        <v>17</v>
      </c>
      <c r="D5" t="s">
        <v>22</v>
      </c>
      <c r="E5">
        <v>54.144838</v>
      </c>
      <c r="F5">
        <f t="shared" si="0"/>
        <v>1.5716754311382464E-2</v>
      </c>
      <c r="G5">
        <f t="shared" ref="G5:G11" si="1">F5-0.01</f>
        <v>5.7167543113824642E-3</v>
      </c>
    </row>
    <row r="6" spans="1:13" x14ac:dyDescent="0.2">
      <c r="A6" t="s">
        <v>4</v>
      </c>
      <c r="B6" t="s">
        <v>34</v>
      </c>
      <c r="C6" t="s">
        <v>26</v>
      </c>
      <c r="E6">
        <v>616.99340600000005</v>
      </c>
      <c r="F6">
        <f t="shared" si="0"/>
        <v>0.17909618224077153</v>
      </c>
      <c r="G6">
        <f>F6-0.15</f>
        <v>2.909618224077154E-2</v>
      </c>
    </row>
    <row r="7" spans="1:13" x14ac:dyDescent="0.2">
      <c r="A7" t="s">
        <v>5</v>
      </c>
      <c r="B7" t="s">
        <v>15</v>
      </c>
      <c r="C7" t="s">
        <v>17</v>
      </c>
      <c r="D7" t="s">
        <v>23</v>
      </c>
      <c r="E7">
        <v>52.259117000000003</v>
      </c>
      <c r="F7">
        <f t="shared" si="0"/>
        <v>1.5169381473055486E-2</v>
      </c>
      <c r="G7">
        <f t="shared" si="1"/>
        <v>5.1693814730554861E-3</v>
      </c>
    </row>
    <row r="8" spans="1:13" x14ac:dyDescent="0.2">
      <c r="A8" t="s">
        <v>6</v>
      </c>
      <c r="B8" t="s">
        <v>33</v>
      </c>
      <c r="C8" t="s">
        <v>26</v>
      </c>
      <c r="E8">
        <v>621.00903700000003</v>
      </c>
      <c r="F8">
        <f t="shared" si="0"/>
        <v>0.18026180925460009</v>
      </c>
      <c r="G8">
        <f>F8-0.15</f>
        <v>3.0261809254600092E-2</v>
      </c>
    </row>
    <row r="9" spans="1:13" x14ac:dyDescent="0.2">
      <c r="A9" t="s">
        <v>7</v>
      </c>
      <c r="B9" t="s">
        <v>15</v>
      </c>
      <c r="C9" t="s">
        <v>17</v>
      </c>
      <c r="D9" t="s">
        <v>18</v>
      </c>
      <c r="E9">
        <v>53.522106000000001</v>
      </c>
      <c r="F9">
        <f t="shared" si="0"/>
        <v>1.5535992373451542E-2</v>
      </c>
      <c r="G9">
        <f t="shared" si="1"/>
        <v>5.5359923734515423E-3</v>
      </c>
    </row>
    <row r="10" spans="1:13" x14ac:dyDescent="0.2">
      <c r="A10" t="s">
        <v>8</v>
      </c>
      <c r="B10" t="s">
        <v>32</v>
      </c>
      <c r="C10" t="s">
        <v>26</v>
      </c>
      <c r="E10">
        <v>648.40450299999998</v>
      </c>
      <c r="F10">
        <f t="shared" si="0"/>
        <v>0.1882139580516439</v>
      </c>
      <c r="G10">
        <f>F10-0.15</f>
        <v>3.8213958051643904E-2</v>
      </c>
    </row>
    <row r="11" spans="1:13" x14ac:dyDescent="0.2">
      <c r="A11" t="s">
        <v>9</v>
      </c>
      <c r="B11" t="s">
        <v>20</v>
      </c>
      <c r="C11" t="s">
        <v>17</v>
      </c>
      <c r="D11" t="s">
        <v>21</v>
      </c>
      <c r="E11">
        <v>52.058692999999998</v>
      </c>
      <c r="F11">
        <f t="shared" si="0"/>
        <v>1.5111203909275454E-2</v>
      </c>
      <c r="G11">
        <f t="shared" si="1"/>
        <v>5.1112039092754535E-3</v>
      </c>
    </row>
    <row r="12" spans="1:13" x14ac:dyDescent="0.2">
      <c r="E12">
        <f>SUM(E2:E11)</f>
        <v>3445.0394100000003</v>
      </c>
      <c r="G12">
        <f>SUM(G2:G11)</f>
        <v>0.20000000000000007</v>
      </c>
    </row>
    <row r="15" spans="1:13" x14ac:dyDescent="0.2">
      <c r="J15" t="s">
        <v>40</v>
      </c>
      <c r="K15" t="s">
        <v>41</v>
      </c>
      <c r="L15" t="s">
        <v>30</v>
      </c>
      <c r="M15" t="s">
        <v>30</v>
      </c>
    </row>
    <row r="16" spans="1:13" x14ac:dyDescent="0.2">
      <c r="I16" t="s">
        <v>43</v>
      </c>
      <c r="J16">
        <f>SUM(J25:J27)</f>
        <v>6.2012054602301345E-2</v>
      </c>
      <c r="K16">
        <v>0.1</v>
      </c>
      <c r="L16">
        <f>J16-K16</f>
        <v>-3.7987945397698661E-2</v>
      </c>
      <c r="M16">
        <f>L16*100</f>
        <v>-3.7987945397698661</v>
      </c>
    </row>
    <row r="17" spans="1:16" x14ac:dyDescent="0.2">
      <c r="I17" t="s">
        <v>44</v>
      </c>
      <c r="J17">
        <f>1-J16</f>
        <v>0.9379879453976987</v>
      </c>
      <c r="K17">
        <v>0.9</v>
      </c>
      <c r="L17">
        <f>J17-K17</f>
        <v>3.7987945397698675E-2</v>
      </c>
      <c r="M17">
        <f>L17*100</f>
        <v>3.7987945397698675</v>
      </c>
    </row>
    <row r="18" spans="1:16" x14ac:dyDescent="0.2">
      <c r="I18" t="s">
        <v>45</v>
      </c>
      <c r="J18">
        <v>0</v>
      </c>
    </row>
    <row r="19" spans="1:16" x14ac:dyDescent="0.2">
      <c r="A19" t="s">
        <v>61</v>
      </c>
      <c r="B19" t="s">
        <v>40</v>
      </c>
      <c r="C19" t="s">
        <v>62</v>
      </c>
    </row>
    <row r="20" spans="1:16" x14ac:dyDescent="0.2">
      <c r="A20" t="s">
        <v>56</v>
      </c>
      <c r="B20">
        <v>67.419060000000002</v>
      </c>
      <c r="C20">
        <f>B20*(1-0.6969)</f>
        <v>20.434717086000003</v>
      </c>
    </row>
    <row r="21" spans="1:16" x14ac:dyDescent="0.2">
      <c r="A21" t="s">
        <v>66</v>
      </c>
      <c r="B21">
        <v>16.601279999999999</v>
      </c>
      <c r="C21">
        <f t="shared" ref="C21:C25" si="2">B21*(1-0.6969)</f>
        <v>5.0318479680000001</v>
      </c>
    </row>
    <row r="22" spans="1:16" x14ac:dyDescent="0.2">
      <c r="A22" t="s">
        <v>67</v>
      </c>
      <c r="B22">
        <v>4.2622900000000001</v>
      </c>
      <c r="C22">
        <f t="shared" si="2"/>
        <v>1.2919000990000002</v>
      </c>
    </row>
    <row r="23" spans="1:16" x14ac:dyDescent="0.2">
      <c r="A23" t="s">
        <v>68</v>
      </c>
      <c r="B23">
        <v>4.1162999999999998</v>
      </c>
      <c r="C23">
        <f t="shared" si="2"/>
        <v>1.24765053</v>
      </c>
    </row>
    <row r="24" spans="1:16" x14ac:dyDescent="0.2">
      <c r="A24" t="s">
        <v>57</v>
      </c>
      <c r="B24">
        <v>0.71838000000000002</v>
      </c>
      <c r="C24">
        <f t="shared" si="2"/>
        <v>0.21774097800000003</v>
      </c>
      <c r="I24" t="s">
        <v>12</v>
      </c>
      <c r="J24" t="s">
        <v>40</v>
      </c>
      <c r="K24" t="s">
        <v>41</v>
      </c>
      <c r="L24" t="s">
        <v>30</v>
      </c>
      <c r="M24" t="s">
        <v>30</v>
      </c>
      <c r="P24" t="s">
        <v>40</v>
      </c>
    </row>
    <row r="25" spans="1:16" x14ac:dyDescent="0.2">
      <c r="A25" t="s">
        <v>60</v>
      </c>
      <c r="B25">
        <v>0.26877000000000001</v>
      </c>
      <c r="C25">
        <f t="shared" si="2"/>
        <v>8.1464187000000007E-2</v>
      </c>
      <c r="I25" t="s">
        <v>24</v>
      </c>
      <c r="J25">
        <f>F2</f>
        <v>1.5648104008191884E-2</v>
      </c>
      <c r="K25">
        <v>0.06</v>
      </c>
      <c r="L25">
        <f>J25-K25</f>
        <v>-4.435189599180811E-2</v>
      </c>
      <c r="M25">
        <f>L25*100</f>
        <v>-4.435189599180811</v>
      </c>
      <c r="P25">
        <f>J25*100*0.6969</f>
        <v>1.0905163683308923</v>
      </c>
    </row>
    <row r="26" spans="1:16" x14ac:dyDescent="0.2">
      <c r="I26" t="s">
        <v>20</v>
      </c>
      <c r="J26">
        <f>F5+F11</f>
        <v>3.0827958220657918E-2</v>
      </c>
      <c r="K26">
        <v>0.02</v>
      </c>
      <c r="L26">
        <f t="shared" ref="L26:L30" si="3">J26-K26</f>
        <v>1.0827958220657918E-2</v>
      </c>
      <c r="M26">
        <f t="shared" ref="M26:M30" si="4">L26*100</f>
        <v>1.0827958220657918</v>
      </c>
      <c r="P26">
        <f t="shared" ref="P26:P31" si="5">J26*100*0.6969</f>
        <v>2.14840040839765</v>
      </c>
    </row>
    <row r="27" spans="1:16" x14ac:dyDescent="0.2">
      <c r="I27" t="s">
        <v>46</v>
      </c>
      <c r="J27">
        <v>1.5535992373451542E-2</v>
      </c>
      <c r="K27">
        <v>0.02</v>
      </c>
      <c r="L27">
        <f t="shared" si="3"/>
        <v>-4.464007626548458E-3</v>
      </c>
      <c r="M27">
        <f t="shared" si="4"/>
        <v>-0.4464007626548458</v>
      </c>
      <c r="P27">
        <f t="shared" si="5"/>
        <v>1.082703308505838</v>
      </c>
    </row>
    <row r="28" spans="1:16" x14ac:dyDescent="0.2">
      <c r="I28" t="s">
        <v>47</v>
      </c>
      <c r="J28">
        <v>0</v>
      </c>
      <c r="K28">
        <v>0.15</v>
      </c>
      <c r="L28">
        <f t="shared" si="3"/>
        <v>-0.15</v>
      </c>
      <c r="M28">
        <f t="shared" si="4"/>
        <v>-15</v>
      </c>
      <c r="P28">
        <f t="shared" si="5"/>
        <v>0</v>
      </c>
    </row>
    <row r="29" spans="1:16" x14ac:dyDescent="0.2">
      <c r="I29" t="s">
        <v>48</v>
      </c>
      <c r="J29">
        <v>0.17909618224077153</v>
      </c>
      <c r="K29">
        <v>0.15</v>
      </c>
      <c r="L29">
        <f t="shared" si="3"/>
        <v>2.909618224077154E-2</v>
      </c>
      <c r="M29">
        <f t="shared" si="4"/>
        <v>2.9096182240771542</v>
      </c>
      <c r="P29">
        <f t="shared" si="5"/>
        <v>12.481212940359368</v>
      </c>
    </row>
    <row r="30" spans="1:16" x14ac:dyDescent="0.2">
      <c r="I30" t="s">
        <v>49</v>
      </c>
      <c r="J30">
        <f>F8+F3+F4</f>
        <v>0.55550842363222785</v>
      </c>
      <c r="K30">
        <v>0.45</v>
      </c>
      <c r="L30">
        <f t="shared" si="3"/>
        <v>0.10550842363222784</v>
      </c>
      <c r="M30">
        <f t="shared" si="4"/>
        <v>10.550842363222785</v>
      </c>
      <c r="P30">
        <f t="shared" si="5"/>
        <v>38.713382042929958</v>
      </c>
    </row>
    <row r="31" spans="1:16" x14ac:dyDescent="0.2">
      <c r="I31" t="s">
        <v>50</v>
      </c>
      <c r="J31">
        <v>0.1882139580516439</v>
      </c>
      <c r="K31">
        <v>0.15</v>
      </c>
      <c r="L31">
        <f>J31-K31</f>
        <v>3.8213958051643904E-2</v>
      </c>
      <c r="M31">
        <f>L31*100</f>
        <v>3.8213958051643901</v>
      </c>
      <c r="P31">
        <f t="shared" si="5"/>
        <v>13.116630736619062</v>
      </c>
    </row>
    <row r="33" spans="4:15" x14ac:dyDescent="0.2">
      <c r="D33" t="s">
        <v>63</v>
      </c>
      <c r="E33" t="s">
        <v>40</v>
      </c>
      <c r="F33" t="s">
        <v>41</v>
      </c>
      <c r="G33" t="s">
        <v>30</v>
      </c>
    </row>
    <row r="34" spans="4:15" x14ac:dyDescent="0.2">
      <c r="D34" t="s">
        <v>24</v>
      </c>
      <c r="E34">
        <f>C20+P25</f>
        <v>21.525233454330895</v>
      </c>
      <c r="F34">
        <v>6</v>
      </c>
      <c r="G34">
        <f>E34-F34</f>
        <v>15.525233454330895</v>
      </c>
    </row>
    <row r="35" spans="4:15" x14ac:dyDescent="0.2">
      <c r="D35" t="s">
        <v>20</v>
      </c>
      <c r="E35">
        <f>P26+C25</f>
        <v>2.2298645953976499</v>
      </c>
      <c r="F35">
        <v>2</v>
      </c>
      <c r="G35">
        <f t="shared" ref="G35:G40" si="6">E35-F35</f>
        <v>0.22986459539764992</v>
      </c>
    </row>
    <row r="36" spans="4:15" x14ac:dyDescent="0.2">
      <c r="D36" t="s">
        <v>46</v>
      </c>
      <c r="E36">
        <f>C24+P27</f>
        <v>1.3004442865058379</v>
      </c>
      <c r="F36">
        <v>2</v>
      </c>
      <c r="G36">
        <f t="shared" si="6"/>
        <v>-0.69955571349416212</v>
      </c>
    </row>
    <row r="37" spans="4:15" x14ac:dyDescent="0.2">
      <c r="D37" t="s">
        <v>47</v>
      </c>
      <c r="E37">
        <v>5.0318479680000001</v>
      </c>
      <c r="F37">
        <v>15</v>
      </c>
      <c r="G37">
        <f t="shared" si="6"/>
        <v>-9.968152031999999</v>
      </c>
      <c r="M37">
        <f>ABS(M25)</f>
        <v>4.435189599180811</v>
      </c>
    </row>
    <row r="38" spans="4:15" x14ac:dyDescent="0.2">
      <c r="D38" t="s">
        <v>48</v>
      </c>
      <c r="E38">
        <f>P29+C22</f>
        <v>13.773113039359369</v>
      </c>
      <c r="F38">
        <v>15</v>
      </c>
      <c r="G38">
        <f t="shared" si="6"/>
        <v>-1.2268869606406305</v>
      </c>
      <c r="M38">
        <f t="shared" ref="M38:M44" si="7">ABS(M26)</f>
        <v>1.0827958220657918</v>
      </c>
    </row>
    <row r="39" spans="4:15" x14ac:dyDescent="0.2">
      <c r="D39" t="s">
        <v>69</v>
      </c>
      <c r="E39">
        <f>P30+C23</f>
        <v>39.961032572929959</v>
      </c>
      <c r="F39">
        <v>45</v>
      </c>
      <c r="G39">
        <f t="shared" si="6"/>
        <v>-5.0389674270700411</v>
      </c>
      <c r="M39">
        <f t="shared" si="7"/>
        <v>0.4464007626548458</v>
      </c>
    </row>
    <row r="40" spans="4:15" x14ac:dyDescent="0.2">
      <c r="D40" t="s">
        <v>50</v>
      </c>
      <c r="E40">
        <v>13.116630736619062</v>
      </c>
      <c r="F40">
        <v>15</v>
      </c>
      <c r="G40">
        <f t="shared" si="6"/>
        <v>-1.8833692633809385</v>
      </c>
      <c r="M40">
        <f t="shared" si="7"/>
        <v>15</v>
      </c>
    </row>
    <row r="41" spans="4:15" x14ac:dyDescent="0.2">
      <c r="M41">
        <f t="shared" si="7"/>
        <v>2.9096182240771542</v>
      </c>
    </row>
    <row r="42" spans="4:15" x14ac:dyDescent="0.2">
      <c r="M42">
        <f t="shared" si="7"/>
        <v>10.550842363222785</v>
      </c>
    </row>
    <row r="43" spans="4:15" x14ac:dyDescent="0.2">
      <c r="M43">
        <f t="shared" si="7"/>
        <v>3.8213958051643901</v>
      </c>
    </row>
    <row r="44" spans="4:15" x14ac:dyDescent="0.2">
      <c r="O44">
        <f>AVERAGE(M37:M43)</f>
        <v>5.4637489394808254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showRuler="0" zoomScale="80" zoomScaleNormal="80" workbookViewId="0">
      <selection activeCell="O43" sqref="O43"/>
    </sheetView>
  </sheetViews>
  <sheetFormatPr baseColWidth="10" defaultRowHeight="16" x14ac:dyDescent="0.2"/>
  <cols>
    <col min="1" max="1" width="30.6640625" bestFit="1" customWidth="1"/>
    <col min="2" max="2" width="14.6640625" bestFit="1" customWidth="1"/>
    <col min="3" max="3" width="12.6640625" bestFit="1" customWidth="1"/>
    <col min="4" max="4" width="21.83203125" bestFit="1" customWidth="1"/>
    <col min="5" max="5" width="19.33203125" bestFit="1" customWidth="1"/>
    <col min="6" max="6" width="16.33203125" bestFit="1" customWidth="1"/>
    <col min="9" max="9" width="14.6640625" bestFit="1" customWidth="1"/>
  </cols>
  <sheetData>
    <row r="1" spans="1:13" x14ac:dyDescent="0.2">
      <c r="A1" t="s">
        <v>11</v>
      </c>
      <c r="B1" t="s">
        <v>12</v>
      </c>
      <c r="C1" t="s">
        <v>16</v>
      </c>
      <c r="E1" t="s">
        <v>28</v>
      </c>
      <c r="F1" t="s">
        <v>29</v>
      </c>
      <c r="G1" t="s">
        <v>30</v>
      </c>
    </row>
    <row r="2" spans="1:13" x14ac:dyDescent="0.2">
      <c r="A2" t="s">
        <v>0</v>
      </c>
      <c r="B2" t="s">
        <v>24</v>
      </c>
      <c r="C2" t="s">
        <v>17</v>
      </c>
      <c r="D2" t="s">
        <v>25</v>
      </c>
      <c r="E2">
        <v>32.901791000000003</v>
      </c>
      <c r="F2">
        <f>E2/2162.289654</f>
        <v>1.5216181115760914E-2</v>
      </c>
      <c r="G2">
        <f>F2-0.01</f>
        <v>5.2161811157609133E-3</v>
      </c>
    </row>
    <row r="3" spans="1:13" x14ac:dyDescent="0.2">
      <c r="A3" t="s">
        <v>1</v>
      </c>
      <c r="B3" t="s">
        <v>20</v>
      </c>
      <c r="C3" t="s">
        <v>17</v>
      </c>
      <c r="D3" t="s">
        <v>21</v>
      </c>
      <c r="E3">
        <v>32.447291999999997</v>
      </c>
      <c r="F3">
        <f t="shared" ref="F3:F11" si="0">E3/2162.289654</f>
        <v>1.5005987722309102E-2</v>
      </c>
      <c r="G3">
        <f>F3-0.01</f>
        <v>5.0059877223091014E-3</v>
      </c>
    </row>
    <row r="4" spans="1:13" x14ac:dyDescent="0.2">
      <c r="A4" t="s">
        <v>2</v>
      </c>
      <c r="B4" t="s">
        <v>19</v>
      </c>
      <c r="C4" t="s">
        <v>26</v>
      </c>
      <c r="E4">
        <v>391.75189999999998</v>
      </c>
      <c r="F4">
        <f t="shared" si="0"/>
        <v>0.18117457079596236</v>
      </c>
      <c r="G4">
        <f>F4-0.15</f>
        <v>3.1174570795962364E-2</v>
      </c>
    </row>
    <row r="5" spans="1:13" x14ac:dyDescent="0.2">
      <c r="A5" t="s">
        <v>3</v>
      </c>
      <c r="B5" t="s">
        <v>24</v>
      </c>
      <c r="C5" t="s">
        <v>17</v>
      </c>
      <c r="D5" t="s">
        <v>37</v>
      </c>
      <c r="E5">
        <v>32.922566000000003</v>
      </c>
      <c r="F5">
        <f t="shared" si="0"/>
        <v>1.5225788986733043E-2</v>
      </c>
      <c r="G5">
        <f t="shared" ref="G5:G11" si="1">F5-0.01</f>
        <v>5.2257889867330428E-3</v>
      </c>
    </row>
    <row r="6" spans="1:13" x14ac:dyDescent="0.2">
      <c r="A6" t="s">
        <v>4</v>
      </c>
      <c r="B6" t="s">
        <v>34</v>
      </c>
      <c r="C6" t="s">
        <v>26</v>
      </c>
      <c r="E6">
        <v>385.28399999999999</v>
      </c>
      <c r="F6">
        <f t="shared" si="0"/>
        <v>0.17818334342360959</v>
      </c>
      <c r="G6">
        <f>F6-0.15</f>
        <v>2.8183343423609591E-2</v>
      </c>
    </row>
    <row r="7" spans="1:13" x14ac:dyDescent="0.2">
      <c r="A7" t="s">
        <v>5</v>
      </c>
      <c r="B7" t="s">
        <v>38</v>
      </c>
      <c r="C7" t="s">
        <v>26</v>
      </c>
      <c r="E7">
        <v>387.55939899999998</v>
      </c>
      <c r="F7">
        <f t="shared" si="0"/>
        <v>0.17923565341167746</v>
      </c>
      <c r="G7">
        <f>F7-0.15</f>
        <v>2.923565341167747E-2</v>
      </c>
    </row>
    <row r="8" spans="1:13" x14ac:dyDescent="0.2">
      <c r="A8" t="s">
        <v>6</v>
      </c>
      <c r="B8" t="s">
        <v>20</v>
      </c>
      <c r="C8" t="s">
        <v>17</v>
      </c>
      <c r="D8" t="s">
        <v>22</v>
      </c>
      <c r="E8">
        <v>33.810431000000001</v>
      </c>
      <c r="F8">
        <f t="shared" si="0"/>
        <v>1.5636402337427083E-2</v>
      </c>
      <c r="G8">
        <f t="shared" si="1"/>
        <v>5.6364023374270832E-3</v>
      </c>
    </row>
    <row r="9" spans="1:13" x14ac:dyDescent="0.2">
      <c r="A9" t="s">
        <v>7</v>
      </c>
      <c r="B9" t="s">
        <v>15</v>
      </c>
      <c r="C9" t="s">
        <v>17</v>
      </c>
      <c r="D9" t="s">
        <v>23</v>
      </c>
      <c r="E9">
        <v>33.691105999999998</v>
      </c>
      <c r="F9">
        <f t="shared" si="0"/>
        <v>1.5581217778883197E-2</v>
      </c>
      <c r="G9">
        <f t="shared" si="1"/>
        <v>5.581217778883197E-3</v>
      </c>
    </row>
    <row r="10" spans="1:13" x14ac:dyDescent="0.2">
      <c r="A10" t="s">
        <v>8</v>
      </c>
      <c r="B10" t="s">
        <v>32</v>
      </c>
      <c r="C10" t="s">
        <v>26</v>
      </c>
      <c r="E10">
        <v>386.625878</v>
      </c>
      <c r="F10">
        <f t="shared" si="0"/>
        <v>0.17880392540600851</v>
      </c>
      <c r="G10">
        <f>F10-0.15</f>
        <v>2.8803925406008513E-2</v>
      </c>
      <c r="J10" t="s">
        <v>40</v>
      </c>
      <c r="K10" t="s">
        <v>41</v>
      </c>
      <c r="L10" t="s">
        <v>30</v>
      </c>
      <c r="M10" t="s">
        <v>30</v>
      </c>
    </row>
    <row r="11" spans="1:13" x14ac:dyDescent="0.2">
      <c r="A11" t="s">
        <v>9</v>
      </c>
      <c r="B11" t="s">
        <v>39</v>
      </c>
      <c r="C11" t="s">
        <v>26</v>
      </c>
      <c r="E11">
        <v>445.29529100000002</v>
      </c>
      <c r="F11">
        <f t="shared" si="0"/>
        <v>0.20593692902162866</v>
      </c>
      <c r="G11">
        <f t="shared" si="1"/>
        <v>0.19593692902162865</v>
      </c>
      <c r="I11" t="s">
        <v>43</v>
      </c>
      <c r="J11">
        <f>SUM(J20:J22)+J24+J25+J27</f>
        <v>0.64301273117038182</v>
      </c>
      <c r="K11">
        <v>0.7</v>
      </c>
      <c r="L11">
        <f>J11-K11</f>
        <v>-5.6987268829618132E-2</v>
      </c>
      <c r="M11">
        <f>L11*100</f>
        <v>-5.6987268829618127</v>
      </c>
    </row>
    <row r="12" spans="1:13" x14ac:dyDescent="0.2">
      <c r="E12">
        <f>SUM(E2:E11)</f>
        <v>2162.2896540000002</v>
      </c>
      <c r="G12">
        <f>SUM(G2:G11)</f>
        <v>0.33999999999999997</v>
      </c>
      <c r="I12" t="s">
        <v>44</v>
      </c>
      <c r="J12">
        <f>1-J11</f>
        <v>0.35698726882961818</v>
      </c>
      <c r="K12">
        <v>0.3</v>
      </c>
      <c r="L12">
        <f>J12-K12</f>
        <v>5.6987268829618187E-2</v>
      </c>
      <c r="M12">
        <f>L12*100</f>
        <v>5.698726882961819</v>
      </c>
    </row>
    <row r="13" spans="1:13" x14ac:dyDescent="0.2">
      <c r="I13" t="s">
        <v>45</v>
      </c>
      <c r="J13">
        <v>0</v>
      </c>
    </row>
    <row r="19" spans="1:16" x14ac:dyDescent="0.2">
      <c r="I19" t="s">
        <v>12</v>
      </c>
      <c r="J19" t="s">
        <v>40</v>
      </c>
      <c r="K19" t="s">
        <v>41</v>
      </c>
      <c r="L19" t="s">
        <v>30</v>
      </c>
      <c r="M19" t="s">
        <v>30</v>
      </c>
      <c r="P19" t="s">
        <v>40</v>
      </c>
    </row>
    <row r="20" spans="1:16" x14ac:dyDescent="0.2">
      <c r="A20" t="s">
        <v>61</v>
      </c>
      <c r="B20" t="s">
        <v>40</v>
      </c>
      <c r="C20" t="s">
        <v>62</v>
      </c>
      <c r="I20" t="s">
        <v>24</v>
      </c>
      <c r="J20">
        <f>SUM(F2,F5)</f>
        <v>3.0441970102493957E-2</v>
      </c>
      <c r="K20">
        <v>0.06</v>
      </c>
      <c r="L20">
        <f>J20-K20</f>
        <v>-2.9558029897506041E-2</v>
      </c>
      <c r="M20">
        <f>L20*100</f>
        <v>-2.955802989750604</v>
      </c>
      <c r="P20">
        <f>J20*100*0.668</f>
        <v>2.0335236028465964</v>
      </c>
    </row>
    <row r="21" spans="1:16" x14ac:dyDescent="0.2">
      <c r="A21" t="s">
        <v>56</v>
      </c>
      <c r="B21">
        <v>79.142259999999993</v>
      </c>
      <c r="C21">
        <f>B21*(1-0.668)</f>
        <v>26.275230319999995</v>
      </c>
      <c r="I21" t="s">
        <v>20</v>
      </c>
      <c r="J21">
        <f>F3+F8</f>
        <v>3.0642390059736187E-2</v>
      </c>
      <c r="K21">
        <v>0.02</v>
      </c>
      <c r="L21">
        <f t="shared" ref="L21:L28" si="2">J21-K21</f>
        <v>1.0642390059736186E-2</v>
      </c>
      <c r="M21">
        <f t="shared" ref="M21:M28" si="3">L21*100</f>
        <v>1.0642390059736186</v>
      </c>
      <c r="P21">
        <f t="shared" ref="P21:P27" si="4">J21*100*0.668</f>
        <v>2.0469116559903773</v>
      </c>
    </row>
    <row r="22" spans="1:16" x14ac:dyDescent="0.2">
      <c r="A22" t="s">
        <v>57</v>
      </c>
      <c r="B22">
        <v>8.5277899999999995</v>
      </c>
      <c r="C22">
        <f t="shared" ref="C22:C25" si="5">B22*(1-0.668)</f>
        <v>2.8312262799999997</v>
      </c>
      <c r="I22" t="s">
        <v>19</v>
      </c>
      <c r="J22">
        <v>0.18117457079596236</v>
      </c>
      <c r="K22">
        <v>0.15</v>
      </c>
      <c r="L22">
        <f t="shared" si="2"/>
        <v>3.1174570795962364E-2</v>
      </c>
      <c r="M22">
        <f t="shared" si="3"/>
        <v>3.1174570795962362</v>
      </c>
      <c r="P22">
        <f t="shared" si="4"/>
        <v>12.102461329170286</v>
      </c>
    </row>
    <row r="23" spans="1:16" x14ac:dyDescent="0.2">
      <c r="A23" t="s">
        <v>58</v>
      </c>
      <c r="B23">
        <v>5.0151399999999997</v>
      </c>
      <c r="C23">
        <f t="shared" si="5"/>
        <v>1.6650264799999996</v>
      </c>
      <c r="I23" t="s">
        <v>34</v>
      </c>
      <c r="J23">
        <v>0.17818334342360959</v>
      </c>
      <c r="K23">
        <v>0.15</v>
      </c>
      <c r="L23">
        <f t="shared" si="2"/>
        <v>2.8183343423609591E-2</v>
      </c>
      <c r="M23">
        <f t="shared" si="3"/>
        <v>2.8183343423609593</v>
      </c>
      <c r="P23">
        <f t="shared" si="4"/>
        <v>11.902647340697122</v>
      </c>
    </row>
    <row r="24" spans="1:16" x14ac:dyDescent="0.2">
      <c r="A24" t="s">
        <v>59</v>
      </c>
      <c r="B24">
        <v>4.8576499999999996</v>
      </c>
      <c r="C24">
        <f t="shared" si="5"/>
        <v>1.6127397999999997</v>
      </c>
      <c r="I24" t="s">
        <v>38</v>
      </c>
      <c r="J24">
        <v>0.17923565341167746</v>
      </c>
      <c r="K24">
        <v>0.15</v>
      </c>
      <c r="L24">
        <f t="shared" si="2"/>
        <v>2.923565341167747E-2</v>
      </c>
      <c r="M24">
        <f t="shared" si="3"/>
        <v>2.9235653411677469</v>
      </c>
      <c r="P24">
        <f t="shared" si="4"/>
        <v>11.972941647900054</v>
      </c>
    </row>
    <row r="25" spans="1:16" x14ac:dyDescent="0.2">
      <c r="A25" t="s">
        <v>60</v>
      </c>
      <c r="B25">
        <v>0.61997999999999998</v>
      </c>
      <c r="C25">
        <f t="shared" si="5"/>
        <v>0.20583335999999997</v>
      </c>
      <c r="I25" t="s">
        <v>15</v>
      </c>
      <c r="J25">
        <v>1.5581217778883197E-2</v>
      </c>
      <c r="K25">
        <v>0.02</v>
      </c>
      <c r="L25">
        <f t="shared" si="2"/>
        <v>-4.4187822211168033E-3</v>
      </c>
      <c r="M25">
        <f t="shared" si="3"/>
        <v>-0.44187822211168032</v>
      </c>
      <c r="P25">
        <f t="shared" si="4"/>
        <v>1.0408253476293976</v>
      </c>
    </row>
    <row r="26" spans="1:16" x14ac:dyDescent="0.2">
      <c r="I26" t="s">
        <v>32</v>
      </c>
      <c r="J26">
        <v>0.17880392540600851</v>
      </c>
      <c r="K26">
        <v>0.15</v>
      </c>
      <c r="L26">
        <f t="shared" si="2"/>
        <v>2.8803925406008513E-2</v>
      </c>
      <c r="M26">
        <f t="shared" si="3"/>
        <v>2.8803925406008513</v>
      </c>
      <c r="P26">
        <f t="shared" si="4"/>
        <v>11.944102217121369</v>
      </c>
    </row>
    <row r="27" spans="1:16" x14ac:dyDescent="0.2">
      <c r="I27" t="s">
        <v>39</v>
      </c>
      <c r="J27">
        <v>0.20593692902162866</v>
      </c>
      <c r="K27">
        <v>0.15</v>
      </c>
      <c r="L27">
        <f t="shared" si="2"/>
        <v>5.5936929021628667E-2</v>
      </c>
      <c r="M27">
        <f t="shared" si="3"/>
        <v>5.593692902162867</v>
      </c>
      <c r="P27">
        <f t="shared" si="4"/>
        <v>13.756586858644797</v>
      </c>
    </row>
    <row r="28" spans="1:16" x14ac:dyDescent="0.2">
      <c r="I28" t="s">
        <v>42</v>
      </c>
      <c r="J28">
        <v>0</v>
      </c>
      <c r="K28">
        <v>0.15</v>
      </c>
      <c r="L28">
        <f t="shared" si="2"/>
        <v>-0.15</v>
      </c>
      <c r="M28">
        <f t="shared" si="3"/>
        <v>-15</v>
      </c>
      <c r="P28">
        <f t="shared" ref="P28" si="6">J28*100</f>
        <v>0</v>
      </c>
    </row>
    <row r="33" spans="2:15" x14ac:dyDescent="0.2">
      <c r="B33" t="s">
        <v>63</v>
      </c>
      <c r="C33" t="s">
        <v>40</v>
      </c>
      <c r="D33" t="s">
        <v>41</v>
      </c>
      <c r="E33" t="s">
        <v>30</v>
      </c>
      <c r="M33">
        <f>ABS(M20)</f>
        <v>2.955802989750604</v>
      </c>
    </row>
    <row r="34" spans="2:15" x14ac:dyDescent="0.2">
      <c r="B34" t="s">
        <v>24</v>
      </c>
      <c r="C34">
        <f>C21+P20</f>
        <v>28.308753922846591</v>
      </c>
      <c r="D34">
        <v>6</v>
      </c>
      <c r="E34">
        <f>C34-D34</f>
        <v>22.308753922846591</v>
      </c>
      <c r="M34">
        <f t="shared" ref="M34:M40" si="7">ABS(M21)</f>
        <v>1.0642390059736186</v>
      </c>
    </row>
    <row r="35" spans="2:15" x14ac:dyDescent="0.2">
      <c r="B35" t="s">
        <v>20</v>
      </c>
      <c r="C35">
        <f>C25+P21</f>
        <v>2.252745015990377</v>
      </c>
      <c r="D35">
        <v>2</v>
      </c>
      <c r="E35">
        <f t="shared" ref="E35:E42" si="8">C35-D35</f>
        <v>0.25274501599037702</v>
      </c>
      <c r="M35">
        <f t="shared" si="7"/>
        <v>3.1174570795962362</v>
      </c>
    </row>
    <row r="36" spans="2:15" x14ac:dyDescent="0.2">
      <c r="B36" t="s">
        <v>19</v>
      </c>
      <c r="C36">
        <v>12.102461329170286</v>
      </c>
      <c r="D36">
        <v>15</v>
      </c>
      <c r="E36">
        <f t="shared" si="8"/>
        <v>-2.8975386708297144</v>
      </c>
      <c r="M36">
        <f t="shared" si="7"/>
        <v>2.8183343423609593</v>
      </c>
    </row>
    <row r="37" spans="2:15" x14ac:dyDescent="0.2">
      <c r="B37" t="s">
        <v>34</v>
      </c>
      <c r="C37">
        <v>11.902647340697122</v>
      </c>
      <c r="D37">
        <v>15</v>
      </c>
      <c r="E37">
        <f t="shared" si="8"/>
        <v>-3.097352659302878</v>
      </c>
      <c r="M37">
        <f t="shared" si="7"/>
        <v>2.9235653411677469</v>
      </c>
    </row>
    <row r="38" spans="2:15" x14ac:dyDescent="0.2">
      <c r="B38" t="s">
        <v>38</v>
      </c>
      <c r="C38">
        <v>11.972941647900054</v>
      </c>
      <c r="D38">
        <v>15</v>
      </c>
      <c r="E38">
        <f t="shared" si="8"/>
        <v>-3.0270583520999459</v>
      </c>
      <c r="M38">
        <f>ABS(M25)</f>
        <v>0.44187822211168032</v>
      </c>
    </row>
    <row r="39" spans="2:15" x14ac:dyDescent="0.2">
      <c r="B39" t="s">
        <v>15</v>
      </c>
      <c r="C39">
        <f>C22+P25</f>
        <v>3.8720516276293973</v>
      </c>
      <c r="D39">
        <v>2</v>
      </c>
      <c r="E39">
        <f t="shared" si="8"/>
        <v>1.8720516276293973</v>
      </c>
      <c r="M39">
        <f t="shared" si="7"/>
        <v>2.8803925406008513</v>
      </c>
    </row>
    <row r="40" spans="2:15" x14ac:dyDescent="0.2">
      <c r="B40" t="s">
        <v>32</v>
      </c>
      <c r="C40">
        <v>11.944102217121369</v>
      </c>
      <c r="D40">
        <v>15</v>
      </c>
      <c r="E40">
        <f t="shared" si="8"/>
        <v>-3.0558977828786311</v>
      </c>
      <c r="M40">
        <f t="shared" si="7"/>
        <v>5.593692902162867</v>
      </c>
    </row>
    <row r="41" spans="2:15" x14ac:dyDescent="0.2">
      <c r="B41" t="s">
        <v>39</v>
      </c>
      <c r="C41">
        <f>P27+C23</f>
        <v>15.421613338644796</v>
      </c>
      <c r="D41">
        <v>15</v>
      </c>
      <c r="E41">
        <f t="shared" si="8"/>
        <v>0.42161333864479644</v>
      </c>
      <c r="M41">
        <f>ABS(M28)</f>
        <v>15</v>
      </c>
    </row>
    <row r="42" spans="2:15" x14ac:dyDescent="0.2">
      <c r="B42" t="s">
        <v>42</v>
      </c>
      <c r="C42">
        <v>0</v>
      </c>
      <c r="D42">
        <v>15</v>
      </c>
      <c r="E42">
        <f t="shared" si="8"/>
        <v>-15</v>
      </c>
      <c r="O42">
        <f>AVERAGE(M33:M41)</f>
        <v>4.0883736026360635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Bac_contam</vt:lpstr>
      <vt:lpstr>Archaea_contam</vt:lpstr>
      <vt:lpstr>Mix_contam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Vincent.Rennie</dc:creator>
  <cp:lastModifiedBy>Vincent.Rennie</cp:lastModifiedBy>
  <dcterms:created xsi:type="dcterms:W3CDTF">2021-06-14T10:25:04Z</dcterms:created>
  <dcterms:modified xsi:type="dcterms:W3CDTF">2021-06-15T15:04:49Z</dcterms:modified>
</cp:coreProperties>
</file>